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svenj\surfdrive2\TU Delft\Data repository\Ac chip paper\"/>
    </mc:Choice>
  </mc:AlternateContent>
  <xr:revisionPtr revIDLastSave="0" documentId="8_{0EBE84F8-08F8-448F-857F-71E371A5ACA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007947" sheetId="1" r:id="rId1"/>
  </sheets>
  <definedNames>
    <definedName name="_007947" localSheetId="0">'007947'!$A$1:$N$44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9" i="1" l="1"/>
  <c r="R16" i="1"/>
  <c r="Q39" i="1"/>
  <c r="Q27" i="1"/>
  <c r="P41" i="1"/>
  <c r="Q41" i="1" s="1"/>
  <c r="P40" i="1"/>
  <c r="Q40" i="1" s="1"/>
  <c r="R40" i="1" s="1"/>
  <c r="P39" i="1"/>
  <c r="P38" i="1"/>
  <c r="Q38" i="1" s="1"/>
  <c r="R38" i="1" s="1"/>
  <c r="P37" i="1"/>
  <c r="Q37" i="1" s="1"/>
  <c r="P36" i="1"/>
  <c r="Q36" i="1" s="1"/>
  <c r="P35" i="1"/>
  <c r="Q35" i="1" s="1"/>
  <c r="P34" i="1"/>
  <c r="Q34" i="1" s="1"/>
  <c r="P33" i="1"/>
  <c r="Q33" i="1" s="1"/>
  <c r="P32" i="1"/>
  <c r="Q32" i="1" s="1"/>
  <c r="P31" i="1"/>
  <c r="Q31" i="1" s="1"/>
  <c r="P30" i="1"/>
  <c r="Q30" i="1" s="1"/>
  <c r="P29" i="1"/>
  <c r="Q29" i="1" s="1"/>
  <c r="P28" i="1"/>
  <c r="Q28" i="1" s="1"/>
  <c r="P27" i="1"/>
  <c r="P26" i="1"/>
  <c r="Q26" i="1" s="1"/>
  <c r="R26" i="1" s="1"/>
  <c r="P25" i="1"/>
  <c r="Q25" i="1" s="1"/>
  <c r="P24" i="1"/>
  <c r="Q24" i="1" s="1"/>
  <c r="P23" i="1"/>
  <c r="Q23" i="1" s="1"/>
  <c r="P22" i="1"/>
  <c r="Q22" i="1" s="1"/>
  <c r="P21" i="1"/>
  <c r="Q21" i="1" s="1"/>
  <c r="R20" i="1" s="1"/>
  <c r="P20" i="1"/>
  <c r="Q20" i="1" s="1"/>
  <c r="P19" i="1"/>
  <c r="Q19" i="1" s="1"/>
  <c r="P18" i="1"/>
  <c r="Q18" i="1" s="1"/>
  <c r="P17" i="1"/>
  <c r="Q17" i="1" s="1"/>
  <c r="P16" i="1"/>
  <c r="Q16" i="1" s="1"/>
  <c r="P15" i="1"/>
  <c r="Q15" i="1" s="1"/>
  <c r="P14" i="1"/>
  <c r="Q14" i="1" s="1"/>
  <c r="P13" i="1"/>
  <c r="Q13" i="1" s="1"/>
  <c r="P12" i="1"/>
  <c r="Q12" i="1" s="1"/>
  <c r="P11" i="1"/>
  <c r="Q11" i="1" s="1"/>
  <c r="P10" i="1"/>
  <c r="Q10" i="1" s="1"/>
  <c r="P9" i="1"/>
  <c r="Q9" i="1" s="1"/>
  <c r="P8" i="1"/>
  <c r="Q8" i="1" s="1"/>
  <c r="R8" i="1" s="1"/>
  <c r="P7" i="1"/>
  <c r="Q7" i="1" s="1"/>
  <c r="P6" i="1"/>
  <c r="Q6" i="1" s="1"/>
  <c r="P5" i="1"/>
  <c r="Q5" i="1" s="1"/>
  <c r="P4" i="1"/>
  <c r="Q4" i="1" s="1"/>
  <c r="P3" i="1"/>
  <c r="Q3" i="1" s="1"/>
  <c r="P2" i="1"/>
  <c r="Q2" i="1" s="1"/>
  <c r="S38" i="1" l="1"/>
  <c r="R2" i="1"/>
  <c r="R30" i="1"/>
  <c r="R4" i="1"/>
  <c r="S2" i="1" s="1"/>
  <c r="R12" i="1"/>
  <c r="T8" i="1" s="1"/>
  <c r="R28" i="1"/>
  <c r="R32" i="1"/>
  <c r="R10" i="1"/>
  <c r="R14" i="1"/>
  <c r="S14" i="1" s="1"/>
  <c r="R18" i="1"/>
  <c r="R34" i="1"/>
  <c r="R24" i="1"/>
  <c r="R22" i="1"/>
  <c r="R6" i="1"/>
  <c r="R36" i="1"/>
  <c r="T32" i="1" l="1"/>
  <c r="S26" i="1"/>
  <c r="T38" i="1"/>
  <c r="T14" i="1"/>
  <c r="T2" i="1"/>
  <c r="T26" i="1"/>
  <c r="S8" i="1"/>
  <c r="T20" i="1"/>
  <c r="S20" i="1"/>
  <c r="S3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007947" type="6" refreshedVersion="6" background="1" saveData="1">
    <textPr codePage="437" sourceFile="O:\007947.csv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<sst xmlns="http://schemas.openxmlformats.org/spreadsheetml/2006/main" count="103" uniqueCount="22">
  <si>
    <t>Protocol ID</t>
  </si>
  <si>
    <t>Protocol name</t>
  </si>
  <si>
    <t>Measurement date &amp; time</t>
  </si>
  <si>
    <t>Completion status</t>
  </si>
  <si>
    <t>Run ID</t>
  </si>
  <si>
    <t>Rack</t>
  </si>
  <si>
    <t>Det</t>
  </si>
  <si>
    <t>Pos</t>
  </si>
  <si>
    <t>Time</t>
  </si>
  <si>
    <t>Sample code</t>
  </si>
  <si>
    <t>Sc-46 Counts</t>
  </si>
  <si>
    <t>Sc-46 CPM</t>
  </si>
  <si>
    <t>Sc-46 Error %</t>
  </si>
  <si>
    <t>Sc-46 Info</t>
  </si>
  <si>
    <t>Sc-46</t>
  </si>
  <si>
    <t>I</t>
  </si>
  <si>
    <t>minus BG</t>
  </si>
  <si>
    <t>volume</t>
  </si>
  <si>
    <t>A</t>
  </si>
  <si>
    <t>O</t>
  </si>
  <si>
    <t>BG</t>
  </si>
  <si>
    <t xml:space="preserve">contact time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</si>
</sst>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4"/>
      <color theme="9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11"/>
      <color rgb="FFC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22" fontId="0" fillId="0" borderId="0" xfId="0" applyNumberForma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22" fontId="21" fillId="0" borderId="0" xfId="0" applyNumberFormat="1" applyFont="1"/>
    <xf numFmtId="0" fontId="22" fillId="0" borderId="0" xfId="0" applyFont="1"/>
    <xf numFmtId="0" fontId="23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007947" connectionId="1" xr16:uid="{00000000-0016-0000-0000-000000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4"/>
  <sheetViews>
    <sheetView tabSelected="1" topLeftCell="A14" zoomScale="71" workbookViewId="0">
      <selection activeCell="H22" sqref="H22"/>
    </sheetView>
  </sheetViews>
  <sheetFormatPr baseColWidth="10" defaultColWidth="8.88671875" defaultRowHeight="14.4" x14ac:dyDescent="0.3"/>
  <cols>
    <col min="1" max="1" width="10.6640625" bestFit="1" customWidth="1"/>
    <col min="2" max="2" width="14" bestFit="1" customWidth="1"/>
    <col min="3" max="3" width="24.6640625" bestFit="1" customWidth="1"/>
    <col min="4" max="4" width="17.44140625" bestFit="1" customWidth="1"/>
    <col min="5" max="5" width="6.6640625" bestFit="1" customWidth="1"/>
    <col min="6" max="6" width="5" bestFit="1" customWidth="1"/>
    <col min="7" max="8" width="4.109375" bestFit="1" customWidth="1"/>
    <col min="9" max="9" width="7" bestFit="1" customWidth="1"/>
    <col min="10" max="10" width="12.33203125" bestFit="1" customWidth="1"/>
    <col min="11" max="11" width="12.109375" bestFit="1" customWidth="1"/>
    <col min="12" max="12" width="10" bestFit="1" customWidth="1"/>
    <col min="13" max="13" width="12.33203125" bestFit="1" customWidth="1"/>
    <col min="14" max="14" width="9.5546875" bestFit="1" customWidth="1"/>
  </cols>
  <sheetData>
    <row r="1" spans="1:2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21</v>
      </c>
      <c r="P1" t="s">
        <v>16</v>
      </c>
      <c r="Q1" t="s">
        <v>17</v>
      </c>
    </row>
    <row r="2" spans="1:25" x14ac:dyDescent="0.3">
      <c r="A2">
        <v>37</v>
      </c>
      <c r="B2" t="s">
        <v>14</v>
      </c>
      <c r="C2" s="1">
        <v>45077.652175925927</v>
      </c>
      <c r="D2">
        <v>0</v>
      </c>
      <c r="E2">
        <v>7947</v>
      </c>
      <c r="F2">
        <v>1</v>
      </c>
      <c r="G2">
        <v>1</v>
      </c>
      <c r="H2">
        <v>1</v>
      </c>
      <c r="I2">
        <v>120.05</v>
      </c>
      <c r="K2">
        <v>3971.39</v>
      </c>
      <c r="L2">
        <v>1985.36</v>
      </c>
      <c r="M2">
        <v>2.2400000000000002</v>
      </c>
      <c r="N2" t="s">
        <v>18</v>
      </c>
      <c r="P2">
        <f>K2-$K$42</f>
        <v>3878.39</v>
      </c>
      <c r="Q2">
        <f>P2*200</f>
        <v>775678</v>
      </c>
      <c r="R2">
        <f>Q3/(Q3+Q2)*100</f>
        <v>21.268189548377993</v>
      </c>
      <c r="S2" s="3">
        <f>AVERAGE(R2:R6)</f>
        <v>19.496813998980084</v>
      </c>
      <c r="T2" s="3">
        <f>_xlfn.STDEV.P(R2:R6)</f>
        <v>1.2633867428119607</v>
      </c>
    </row>
    <row r="3" spans="1:25" ht="18" x14ac:dyDescent="0.35">
      <c r="A3">
        <v>37</v>
      </c>
      <c r="B3" t="s">
        <v>14</v>
      </c>
      <c r="C3" s="1">
        <v>45077.653726851851</v>
      </c>
      <c r="D3">
        <v>0</v>
      </c>
      <c r="E3">
        <v>7947</v>
      </c>
      <c r="F3">
        <v>1</v>
      </c>
      <c r="G3">
        <v>1</v>
      </c>
      <c r="H3">
        <v>2</v>
      </c>
      <c r="I3">
        <v>120.05</v>
      </c>
      <c r="K3">
        <v>931.15</v>
      </c>
      <c r="L3">
        <v>465.43</v>
      </c>
      <c r="M3">
        <v>4.6399999999999997</v>
      </c>
      <c r="N3" t="s">
        <v>19</v>
      </c>
      <c r="O3">
        <v>5.0625000000000003E-2</v>
      </c>
      <c r="P3">
        <f t="shared" ref="P3:P41" si="0">K3-$K$42</f>
        <v>838.15</v>
      </c>
      <c r="Q3">
        <f>P3*250</f>
        <v>209537.5</v>
      </c>
      <c r="W3" s="2"/>
      <c r="X3" s="4"/>
      <c r="Y3" s="4"/>
    </row>
    <row r="4" spans="1:25" ht="18" x14ac:dyDescent="0.35">
      <c r="A4">
        <v>37</v>
      </c>
      <c r="B4" t="s">
        <v>14</v>
      </c>
      <c r="C4" s="1">
        <v>45077.655266203707</v>
      </c>
      <c r="D4">
        <v>0</v>
      </c>
      <c r="E4">
        <v>7947</v>
      </c>
      <c r="F4">
        <v>1</v>
      </c>
      <c r="G4">
        <v>1</v>
      </c>
      <c r="H4">
        <v>3</v>
      </c>
      <c r="I4">
        <v>120.03</v>
      </c>
      <c r="K4">
        <v>4187.2</v>
      </c>
      <c r="L4">
        <v>2093.5300000000002</v>
      </c>
      <c r="M4">
        <v>2.19</v>
      </c>
      <c r="N4" t="s">
        <v>18</v>
      </c>
      <c r="P4">
        <f t="shared" si="0"/>
        <v>4094.2</v>
      </c>
      <c r="Q4">
        <f>P4*200</f>
        <v>818840</v>
      </c>
      <c r="R4">
        <f>Q5/(Q5+Q4)*100</f>
        <v>18.408912005898824</v>
      </c>
      <c r="W4" s="2"/>
      <c r="X4" s="4"/>
      <c r="Y4" s="4"/>
    </row>
    <row r="5" spans="1:25" ht="18" x14ac:dyDescent="0.35">
      <c r="A5">
        <v>37</v>
      </c>
      <c r="B5" t="s">
        <v>14</v>
      </c>
      <c r="C5" s="1">
        <v>45077.656817129631</v>
      </c>
      <c r="D5">
        <v>0</v>
      </c>
      <c r="E5">
        <v>7947</v>
      </c>
      <c r="F5">
        <v>1</v>
      </c>
      <c r="G5">
        <v>1</v>
      </c>
      <c r="H5">
        <v>4</v>
      </c>
      <c r="I5">
        <v>120.05</v>
      </c>
      <c r="K5">
        <v>832</v>
      </c>
      <c r="L5">
        <v>415.86</v>
      </c>
      <c r="M5">
        <v>4.9000000000000004</v>
      </c>
      <c r="N5" t="s">
        <v>19</v>
      </c>
      <c r="P5">
        <f t="shared" si="0"/>
        <v>739</v>
      </c>
      <c r="Q5">
        <f>P5*250</f>
        <v>184750</v>
      </c>
      <c r="W5" s="2"/>
      <c r="X5" s="4"/>
      <c r="Y5" s="4"/>
    </row>
    <row r="6" spans="1:25" ht="18" x14ac:dyDescent="0.35">
      <c r="A6">
        <v>37</v>
      </c>
      <c r="B6" t="s">
        <v>14</v>
      </c>
      <c r="C6" s="1">
        <v>45077.658368055556</v>
      </c>
      <c r="D6">
        <v>0</v>
      </c>
      <c r="E6">
        <v>7947</v>
      </c>
      <c r="F6">
        <v>1</v>
      </c>
      <c r="G6">
        <v>1</v>
      </c>
      <c r="H6">
        <v>5</v>
      </c>
      <c r="I6">
        <v>120.05</v>
      </c>
      <c r="K6">
        <v>7824.16</v>
      </c>
      <c r="L6">
        <v>3912.19</v>
      </c>
      <c r="M6">
        <v>1.6</v>
      </c>
      <c r="N6" t="s">
        <v>18</v>
      </c>
      <c r="P6">
        <f t="shared" si="0"/>
        <v>7731.16</v>
      </c>
      <c r="Q6">
        <f>P6*200</f>
        <v>1546232</v>
      </c>
      <c r="R6">
        <f>Q7/(Q7+Q6)*100</f>
        <v>18.813340442663439</v>
      </c>
      <c r="W6" s="2"/>
      <c r="X6" s="4"/>
      <c r="Y6" s="4"/>
    </row>
    <row r="7" spans="1:25" ht="18" x14ac:dyDescent="0.35">
      <c r="A7">
        <v>37</v>
      </c>
      <c r="B7" t="s">
        <v>14</v>
      </c>
      <c r="C7" s="1">
        <v>45077.659918981481</v>
      </c>
      <c r="D7">
        <v>0</v>
      </c>
      <c r="E7">
        <v>7947</v>
      </c>
      <c r="F7">
        <v>1</v>
      </c>
      <c r="G7">
        <v>1</v>
      </c>
      <c r="H7">
        <v>6</v>
      </c>
      <c r="I7">
        <v>120.03</v>
      </c>
      <c r="K7">
        <v>1526.23</v>
      </c>
      <c r="L7">
        <v>762.98</v>
      </c>
      <c r="M7">
        <v>3.62</v>
      </c>
      <c r="N7" t="s">
        <v>19</v>
      </c>
      <c r="P7">
        <f t="shared" si="0"/>
        <v>1433.23</v>
      </c>
      <c r="Q7">
        <f>P7*250</f>
        <v>358307.5</v>
      </c>
      <c r="W7" s="2"/>
      <c r="X7" s="2"/>
      <c r="Y7" s="2"/>
    </row>
    <row r="8" spans="1:25" ht="18" x14ac:dyDescent="0.35">
      <c r="A8">
        <v>37</v>
      </c>
      <c r="B8" t="s">
        <v>14</v>
      </c>
      <c r="C8" s="1">
        <v>45077.661469907405</v>
      </c>
      <c r="D8">
        <v>0</v>
      </c>
      <c r="E8">
        <v>7947</v>
      </c>
      <c r="F8">
        <v>1</v>
      </c>
      <c r="G8">
        <v>1</v>
      </c>
      <c r="H8">
        <v>7</v>
      </c>
      <c r="I8">
        <v>120.05</v>
      </c>
      <c r="K8">
        <v>17793</v>
      </c>
      <c r="L8">
        <v>8893.5</v>
      </c>
      <c r="M8">
        <v>1.6</v>
      </c>
      <c r="N8" t="s">
        <v>18</v>
      </c>
      <c r="P8">
        <f t="shared" si="0"/>
        <v>17700</v>
      </c>
      <c r="Q8">
        <f>P8*150</f>
        <v>2655000</v>
      </c>
      <c r="R8">
        <f>Q9/(Q9+Q8)*100</f>
        <v>25.634251603275114</v>
      </c>
      <c r="S8" s="3">
        <f>AVERAGE(R8:R12)</f>
        <v>30.283018512031138</v>
      </c>
      <c r="T8" s="3">
        <f>_xlfn.STDEV.P(R8:R12)</f>
        <v>6.567515459056728</v>
      </c>
      <c r="W8" s="2"/>
      <c r="X8" s="2"/>
      <c r="Y8" s="2"/>
    </row>
    <row r="9" spans="1:25" ht="18" x14ac:dyDescent="0.35">
      <c r="A9">
        <v>37</v>
      </c>
      <c r="B9" t="s">
        <v>14</v>
      </c>
      <c r="C9" s="1">
        <v>45077.66302083333</v>
      </c>
      <c r="D9">
        <v>0</v>
      </c>
      <c r="E9">
        <v>7947</v>
      </c>
      <c r="F9">
        <v>1</v>
      </c>
      <c r="G9">
        <v>1</v>
      </c>
      <c r="H9">
        <v>8</v>
      </c>
      <c r="I9">
        <v>120.03</v>
      </c>
      <c r="K9">
        <v>4668.96</v>
      </c>
      <c r="L9">
        <v>2334.5</v>
      </c>
      <c r="M9">
        <v>2.0699999999999998</v>
      </c>
      <c r="N9" t="s">
        <v>19</v>
      </c>
      <c r="O9">
        <v>6.7500000000000004E-2</v>
      </c>
      <c r="P9">
        <f t="shared" si="0"/>
        <v>4575.96</v>
      </c>
      <c r="Q9">
        <f>P9*200</f>
        <v>915192</v>
      </c>
      <c r="W9" s="2"/>
      <c r="X9" s="2">
        <f>K5/L5</f>
        <v>2.0006733035156063</v>
      </c>
      <c r="Y9" s="2"/>
    </row>
    <row r="10" spans="1:25" ht="18" x14ac:dyDescent="0.35">
      <c r="A10">
        <v>37</v>
      </c>
      <c r="B10" t="s">
        <v>14</v>
      </c>
      <c r="C10" s="1">
        <v>45077.664560185185</v>
      </c>
      <c r="D10">
        <v>0</v>
      </c>
      <c r="E10">
        <v>7947</v>
      </c>
      <c r="F10">
        <v>1</v>
      </c>
      <c r="G10">
        <v>1</v>
      </c>
      <c r="H10">
        <v>9</v>
      </c>
      <c r="I10">
        <v>120.06</v>
      </c>
      <c r="K10">
        <v>3386.57</v>
      </c>
      <c r="L10">
        <v>1692.72</v>
      </c>
      <c r="M10">
        <v>2.4300000000000002</v>
      </c>
      <c r="N10" t="s">
        <v>18</v>
      </c>
      <c r="P10">
        <f t="shared" si="0"/>
        <v>3293.57</v>
      </c>
      <c r="Q10">
        <f>P10*150</f>
        <v>494035.5</v>
      </c>
      <c r="R10">
        <f>Q11/(Q11+Q10)*100</f>
        <v>39.57088626871532</v>
      </c>
      <c r="W10" s="2"/>
      <c r="X10" s="2"/>
      <c r="Y10" s="2"/>
    </row>
    <row r="11" spans="1:25" x14ac:dyDescent="0.3">
      <c r="A11">
        <v>37</v>
      </c>
      <c r="B11" t="s">
        <v>14</v>
      </c>
      <c r="C11" s="1">
        <v>45077.66611111111</v>
      </c>
      <c r="D11">
        <v>0</v>
      </c>
      <c r="E11">
        <v>7947</v>
      </c>
      <c r="F11">
        <v>1</v>
      </c>
      <c r="G11">
        <v>1</v>
      </c>
      <c r="H11">
        <v>10</v>
      </c>
      <c r="I11">
        <v>120.04</v>
      </c>
      <c r="K11">
        <v>1710.55</v>
      </c>
      <c r="L11">
        <v>855.04</v>
      </c>
      <c r="M11">
        <v>3.42</v>
      </c>
      <c r="N11" t="s">
        <v>19</v>
      </c>
      <c r="P11">
        <f t="shared" si="0"/>
        <v>1617.55</v>
      </c>
      <c r="Q11">
        <f>P11*200</f>
        <v>323510</v>
      </c>
    </row>
    <row r="12" spans="1:25" x14ac:dyDescent="0.3">
      <c r="A12">
        <v>37</v>
      </c>
      <c r="B12" t="s">
        <v>14</v>
      </c>
      <c r="C12" s="1">
        <v>45077.668020833335</v>
      </c>
      <c r="D12">
        <v>0</v>
      </c>
      <c r="E12">
        <v>7947</v>
      </c>
      <c r="F12">
        <v>2</v>
      </c>
      <c r="G12">
        <v>1</v>
      </c>
      <c r="H12">
        <v>1</v>
      </c>
      <c r="I12">
        <v>120.03</v>
      </c>
      <c r="K12">
        <v>6210.84</v>
      </c>
      <c r="L12">
        <v>3105.66</v>
      </c>
      <c r="M12">
        <v>1.79</v>
      </c>
      <c r="N12" t="s">
        <v>18</v>
      </c>
      <c r="P12">
        <f t="shared" si="0"/>
        <v>6117.84</v>
      </c>
      <c r="Q12">
        <f>P12*150</f>
        <v>917676</v>
      </c>
      <c r="R12">
        <f>Q13/(Q13+Q12)*100</f>
        <v>25.64391766410299</v>
      </c>
    </row>
    <row r="13" spans="1:25" x14ac:dyDescent="0.3">
      <c r="A13">
        <v>37</v>
      </c>
      <c r="B13" t="s">
        <v>14</v>
      </c>
      <c r="C13" s="1">
        <v>45077.669571759259</v>
      </c>
      <c r="D13">
        <v>0</v>
      </c>
      <c r="E13">
        <v>7947</v>
      </c>
      <c r="F13">
        <v>2</v>
      </c>
      <c r="G13">
        <v>1</v>
      </c>
      <c r="H13">
        <v>2</v>
      </c>
      <c r="I13">
        <v>120.05</v>
      </c>
      <c r="K13">
        <v>1675.44</v>
      </c>
      <c r="L13">
        <v>837.48</v>
      </c>
      <c r="M13">
        <v>3.46</v>
      </c>
      <c r="N13" t="s">
        <v>19</v>
      </c>
      <c r="P13">
        <f t="shared" si="0"/>
        <v>1582.44</v>
      </c>
      <c r="Q13">
        <f>P13*200</f>
        <v>316488</v>
      </c>
    </row>
    <row r="14" spans="1:25" x14ac:dyDescent="0.3">
      <c r="A14">
        <v>37</v>
      </c>
      <c r="B14" t="s">
        <v>14</v>
      </c>
      <c r="C14" s="1">
        <v>45077.671122685184</v>
      </c>
      <c r="D14">
        <v>0</v>
      </c>
      <c r="E14">
        <v>7947</v>
      </c>
      <c r="F14">
        <v>2</v>
      </c>
      <c r="G14">
        <v>1</v>
      </c>
      <c r="H14">
        <v>3</v>
      </c>
      <c r="I14">
        <v>120.05</v>
      </c>
      <c r="K14">
        <v>5867.8</v>
      </c>
      <c r="L14">
        <v>2933.69</v>
      </c>
      <c r="M14">
        <v>1.85</v>
      </c>
      <c r="N14" t="s">
        <v>18</v>
      </c>
      <c r="P14">
        <f t="shared" si="0"/>
        <v>5774.8</v>
      </c>
      <c r="Q14">
        <f>P14*100</f>
        <v>577480</v>
      </c>
      <c r="R14">
        <f>Q15/(Q15+Q14)*100</f>
        <v>33.812179164200536</v>
      </c>
      <c r="S14" s="3">
        <f>AVERAGE(R14:R18)</f>
        <v>33.925531086898665</v>
      </c>
      <c r="T14" s="3">
        <f>_xlfn.STDEV.P(R14:R18)</f>
        <v>4.5009506644904107</v>
      </c>
    </row>
    <row r="15" spans="1:25" x14ac:dyDescent="0.3">
      <c r="A15">
        <v>37</v>
      </c>
      <c r="B15" t="s">
        <v>14</v>
      </c>
      <c r="C15" s="1">
        <v>45077.672673611109</v>
      </c>
      <c r="D15">
        <v>0</v>
      </c>
      <c r="E15">
        <v>7947</v>
      </c>
      <c r="F15">
        <v>2</v>
      </c>
      <c r="G15">
        <v>1</v>
      </c>
      <c r="H15">
        <v>4</v>
      </c>
      <c r="I15">
        <v>120.05</v>
      </c>
      <c r="K15">
        <v>2774.88</v>
      </c>
      <c r="L15">
        <v>1387.11</v>
      </c>
      <c r="M15">
        <v>2.69</v>
      </c>
      <c r="N15" t="s">
        <v>19</v>
      </c>
      <c r="O15">
        <v>0.10125000000000001</v>
      </c>
      <c r="P15">
        <f t="shared" si="0"/>
        <v>2681.88</v>
      </c>
      <c r="Q15">
        <f>P15*110</f>
        <v>295006.8</v>
      </c>
    </row>
    <row r="16" spans="1:25" x14ac:dyDescent="0.3">
      <c r="A16">
        <v>37</v>
      </c>
      <c r="B16" t="s">
        <v>14</v>
      </c>
      <c r="C16" s="1">
        <v>45077.674224537041</v>
      </c>
      <c r="D16">
        <v>0</v>
      </c>
      <c r="E16">
        <v>7947</v>
      </c>
      <c r="F16">
        <v>2</v>
      </c>
      <c r="G16">
        <v>1</v>
      </c>
      <c r="H16">
        <v>5</v>
      </c>
      <c r="I16">
        <v>120.06</v>
      </c>
      <c r="K16">
        <v>5177.24</v>
      </c>
      <c r="L16">
        <v>2588</v>
      </c>
      <c r="M16">
        <v>1.97</v>
      </c>
      <c r="N16" t="s">
        <v>18</v>
      </c>
      <c r="P16">
        <f t="shared" si="0"/>
        <v>5084.24</v>
      </c>
      <c r="Q16">
        <f>P16*100</f>
        <v>508424</v>
      </c>
      <c r="R16">
        <f>Q17/(Q17+Q16)*100</f>
        <v>28.47056493064969</v>
      </c>
    </row>
    <row r="17" spans="1:20" x14ac:dyDescent="0.3">
      <c r="A17">
        <v>37</v>
      </c>
      <c r="B17" t="s">
        <v>14</v>
      </c>
      <c r="C17" s="1">
        <v>45077.675775462965</v>
      </c>
      <c r="D17">
        <v>0</v>
      </c>
      <c r="E17">
        <v>7947</v>
      </c>
      <c r="F17">
        <v>2</v>
      </c>
      <c r="G17">
        <v>1</v>
      </c>
      <c r="H17">
        <v>6</v>
      </c>
      <c r="I17">
        <v>120.03</v>
      </c>
      <c r="K17">
        <v>1932.69</v>
      </c>
      <c r="L17">
        <v>966.21</v>
      </c>
      <c r="M17">
        <v>3.22</v>
      </c>
      <c r="N17" t="s">
        <v>19</v>
      </c>
      <c r="P17">
        <f t="shared" si="0"/>
        <v>1839.69</v>
      </c>
      <c r="Q17">
        <f>P17*110</f>
        <v>202365.9</v>
      </c>
    </row>
    <row r="18" spans="1:20" x14ac:dyDescent="0.3">
      <c r="A18">
        <v>37</v>
      </c>
      <c r="B18" t="s">
        <v>14</v>
      </c>
      <c r="C18" s="1">
        <v>45077.677314814813</v>
      </c>
      <c r="D18">
        <v>0</v>
      </c>
      <c r="E18">
        <v>7947</v>
      </c>
      <c r="F18">
        <v>2</v>
      </c>
      <c r="G18">
        <v>1</v>
      </c>
      <c r="H18">
        <v>7</v>
      </c>
      <c r="I18">
        <v>120.06</v>
      </c>
      <c r="K18">
        <v>2742.81</v>
      </c>
      <c r="L18">
        <v>1370.93</v>
      </c>
      <c r="M18">
        <v>2.7</v>
      </c>
      <c r="N18" t="s">
        <v>18</v>
      </c>
      <c r="P18">
        <f t="shared" si="0"/>
        <v>2649.81</v>
      </c>
      <c r="Q18">
        <f>P18*100</f>
        <v>264981</v>
      </c>
      <c r="R18">
        <f>Q19/(Q19+Q18)*100</f>
        <v>39.493849165845774</v>
      </c>
    </row>
    <row r="19" spans="1:20" x14ac:dyDescent="0.3">
      <c r="A19">
        <v>37</v>
      </c>
      <c r="B19" t="s">
        <v>14</v>
      </c>
      <c r="C19" s="1">
        <v>45077.678865740738</v>
      </c>
      <c r="D19">
        <v>0</v>
      </c>
      <c r="E19">
        <v>7947</v>
      </c>
      <c r="F19">
        <v>2</v>
      </c>
      <c r="G19">
        <v>1</v>
      </c>
      <c r="H19">
        <v>8</v>
      </c>
      <c r="I19">
        <v>120.06</v>
      </c>
      <c r="K19">
        <v>1665.36</v>
      </c>
      <c r="L19">
        <v>832.37</v>
      </c>
      <c r="M19">
        <v>3.47</v>
      </c>
      <c r="N19" t="s">
        <v>19</v>
      </c>
      <c r="P19">
        <f t="shared" si="0"/>
        <v>1572.36</v>
      </c>
      <c r="Q19">
        <f>P19*110</f>
        <v>172959.59999999998</v>
      </c>
    </row>
    <row r="20" spans="1:20" x14ac:dyDescent="0.3">
      <c r="A20">
        <v>37</v>
      </c>
      <c r="B20" t="s">
        <v>14</v>
      </c>
      <c r="C20" s="1">
        <v>45077.68041666667</v>
      </c>
      <c r="D20">
        <v>0</v>
      </c>
      <c r="E20">
        <v>7947</v>
      </c>
      <c r="F20">
        <v>2</v>
      </c>
      <c r="G20">
        <v>1</v>
      </c>
      <c r="H20">
        <v>9</v>
      </c>
      <c r="I20">
        <v>120.06</v>
      </c>
      <c r="K20">
        <v>2577.9</v>
      </c>
      <c r="L20">
        <v>1288.53</v>
      </c>
      <c r="M20">
        <v>2.79</v>
      </c>
      <c r="N20" t="s">
        <v>18</v>
      </c>
      <c r="P20">
        <f t="shared" si="0"/>
        <v>2484.9</v>
      </c>
      <c r="Q20">
        <f>P20*70</f>
        <v>173943</v>
      </c>
      <c r="R20">
        <f>Q21/(Q21+Q20)*100</f>
        <v>56.467637723092004</v>
      </c>
      <c r="S20" s="3">
        <f>AVERAGE(R20:R24)</f>
        <v>53.901732358666358</v>
      </c>
      <c r="T20" s="3">
        <f>_xlfn.STDEV.P(R20:R24)</f>
        <v>4.484797390999308</v>
      </c>
    </row>
    <row r="21" spans="1:20" x14ac:dyDescent="0.3">
      <c r="A21">
        <v>37</v>
      </c>
      <c r="B21" t="s">
        <v>14</v>
      </c>
      <c r="C21" s="1">
        <v>45077.681967592594</v>
      </c>
      <c r="D21">
        <v>0</v>
      </c>
      <c r="E21">
        <v>7947</v>
      </c>
      <c r="F21">
        <v>2</v>
      </c>
      <c r="G21">
        <v>1</v>
      </c>
      <c r="H21">
        <v>10</v>
      </c>
      <c r="I21">
        <v>120.02</v>
      </c>
      <c r="K21">
        <v>2144.17</v>
      </c>
      <c r="L21">
        <v>1071.72</v>
      </c>
      <c r="M21">
        <v>1.48</v>
      </c>
      <c r="N21" t="s">
        <v>19</v>
      </c>
      <c r="O21">
        <v>0.14464285714285716</v>
      </c>
      <c r="P21">
        <f t="shared" si="0"/>
        <v>2051.17</v>
      </c>
      <c r="Q21">
        <f>P21*110</f>
        <v>225628.7</v>
      </c>
      <c r="S21" s="3"/>
      <c r="T21" s="3"/>
    </row>
    <row r="22" spans="1:20" x14ac:dyDescent="0.3">
      <c r="A22">
        <v>37</v>
      </c>
      <c r="B22" t="s">
        <v>14</v>
      </c>
      <c r="C22" s="1">
        <v>45077.683796296296</v>
      </c>
      <c r="D22">
        <v>0</v>
      </c>
      <c r="E22">
        <v>7947</v>
      </c>
      <c r="F22">
        <v>3</v>
      </c>
      <c r="G22">
        <v>1</v>
      </c>
      <c r="H22">
        <v>1</v>
      </c>
      <c r="I22">
        <v>120.06</v>
      </c>
      <c r="K22">
        <v>1576.14</v>
      </c>
      <c r="L22">
        <v>787.74</v>
      </c>
      <c r="M22">
        <v>3.56</v>
      </c>
      <c r="N22" t="s">
        <v>18</v>
      </c>
      <c r="P22">
        <f t="shared" si="0"/>
        <v>1483.14</v>
      </c>
      <c r="Q22">
        <f>P22*70</f>
        <v>103819.8</v>
      </c>
      <c r="R22">
        <f>Q23/(Q23+Q22)*100</f>
        <v>57.641946874853367</v>
      </c>
    </row>
    <row r="23" spans="1:20" x14ac:dyDescent="0.3">
      <c r="A23">
        <v>37</v>
      </c>
      <c r="B23" t="s">
        <v>14</v>
      </c>
      <c r="C23" s="1">
        <v>45077.685347222221</v>
      </c>
      <c r="D23">
        <v>0</v>
      </c>
      <c r="E23">
        <v>7947</v>
      </c>
      <c r="F23">
        <v>3</v>
      </c>
      <c r="G23">
        <v>1</v>
      </c>
      <c r="H23">
        <v>2</v>
      </c>
      <c r="I23">
        <v>120.05</v>
      </c>
      <c r="K23">
        <v>1377.37</v>
      </c>
      <c r="L23">
        <v>688.47</v>
      </c>
      <c r="M23">
        <v>3.81</v>
      </c>
      <c r="N23" t="s">
        <v>19</v>
      </c>
      <c r="P23">
        <f t="shared" si="0"/>
        <v>1284.3699999999999</v>
      </c>
      <c r="Q23">
        <f>P23*110</f>
        <v>141280.69999999998</v>
      </c>
    </row>
    <row r="24" spans="1:20" x14ac:dyDescent="0.3">
      <c r="A24">
        <v>37</v>
      </c>
      <c r="B24" t="s">
        <v>14</v>
      </c>
      <c r="C24" s="1">
        <v>45077.686886574076</v>
      </c>
      <c r="D24">
        <v>0</v>
      </c>
      <c r="E24">
        <v>7947</v>
      </c>
      <c r="F24">
        <v>3</v>
      </c>
      <c r="G24">
        <v>1</v>
      </c>
      <c r="H24">
        <v>3</v>
      </c>
      <c r="I24">
        <v>120.06</v>
      </c>
      <c r="K24">
        <v>2806.19</v>
      </c>
      <c r="L24">
        <v>1402.64</v>
      </c>
      <c r="M24">
        <v>2.67</v>
      </c>
      <c r="N24" t="s">
        <v>18</v>
      </c>
      <c r="P24">
        <f t="shared" si="0"/>
        <v>2713.19</v>
      </c>
      <c r="Q24">
        <f>P24*70</f>
        <v>189923.30000000002</v>
      </c>
      <c r="R24">
        <f>Q25/(Q25+Q24)*100</f>
        <v>47.595612478053695</v>
      </c>
    </row>
    <row r="25" spans="1:20" x14ac:dyDescent="0.3">
      <c r="A25">
        <v>37</v>
      </c>
      <c r="B25" t="s">
        <v>14</v>
      </c>
      <c r="C25" s="1">
        <v>45077.688437500001</v>
      </c>
      <c r="D25">
        <v>0</v>
      </c>
      <c r="E25">
        <v>7947</v>
      </c>
      <c r="F25">
        <v>3</v>
      </c>
      <c r="G25">
        <v>1</v>
      </c>
      <c r="H25">
        <v>4</v>
      </c>
      <c r="I25">
        <v>120.04</v>
      </c>
      <c r="K25">
        <v>1661.14</v>
      </c>
      <c r="L25">
        <v>830.36</v>
      </c>
      <c r="M25">
        <v>3.47</v>
      </c>
      <c r="N25" t="s">
        <v>19</v>
      </c>
      <c r="P25">
        <f t="shared" si="0"/>
        <v>1568.14</v>
      </c>
      <c r="Q25">
        <f>P25*110</f>
        <v>172495.40000000002</v>
      </c>
    </row>
    <row r="26" spans="1:20" s="5" customFormat="1" x14ac:dyDescent="0.3">
      <c r="A26" s="5">
        <v>37</v>
      </c>
      <c r="B26" s="5" t="s">
        <v>14</v>
      </c>
      <c r="C26" s="6">
        <v>45077.689988425926</v>
      </c>
      <c r="D26" s="5">
        <v>0</v>
      </c>
      <c r="E26" s="5">
        <v>7947</v>
      </c>
      <c r="F26" s="5">
        <v>3</v>
      </c>
      <c r="G26" s="5">
        <v>1</v>
      </c>
      <c r="H26" s="5">
        <v>5</v>
      </c>
      <c r="I26" s="5">
        <v>120.06</v>
      </c>
      <c r="K26" s="5">
        <v>5981.78</v>
      </c>
      <c r="L26" s="5">
        <v>2989.8</v>
      </c>
      <c r="M26" s="5">
        <v>3.35</v>
      </c>
      <c r="N26" s="5" t="s">
        <v>18</v>
      </c>
      <c r="P26" s="5">
        <f t="shared" si="0"/>
        <v>5888.78</v>
      </c>
      <c r="Q26" s="5">
        <f>P26*50</f>
        <v>294439</v>
      </c>
      <c r="R26" s="5">
        <f>Q27/(Q27+Q26)*100</f>
        <v>56.204191732999952</v>
      </c>
      <c r="S26" s="3">
        <f>AVERAGE(R26:R30)</f>
        <v>57.350239054002877</v>
      </c>
      <c r="T26" s="3">
        <f>_xlfn.STDEV.P(R26:R30)</f>
        <v>0.82340274179646011</v>
      </c>
    </row>
    <row r="27" spans="1:20" s="5" customFormat="1" ht="18" x14ac:dyDescent="0.35">
      <c r="A27" s="5">
        <v>37</v>
      </c>
      <c r="B27" s="5" t="s">
        <v>14</v>
      </c>
      <c r="C27" s="6">
        <v>45077.69153935185</v>
      </c>
      <c r="D27" s="5">
        <v>0</v>
      </c>
      <c r="E27" s="5">
        <v>7947</v>
      </c>
      <c r="F27" s="5">
        <v>3</v>
      </c>
      <c r="G27" s="5">
        <v>1</v>
      </c>
      <c r="H27" s="5">
        <v>6</v>
      </c>
      <c r="I27" s="5">
        <v>120.03</v>
      </c>
      <c r="K27" s="5">
        <v>4291.45</v>
      </c>
      <c r="L27" s="5">
        <v>2145.73</v>
      </c>
      <c r="M27" s="5">
        <v>2.16</v>
      </c>
      <c r="N27" s="5" t="s">
        <v>19</v>
      </c>
      <c r="O27" s="5">
        <v>0.20250000000000001</v>
      </c>
      <c r="P27" s="5">
        <f t="shared" si="0"/>
        <v>4198.45</v>
      </c>
      <c r="Q27" s="5">
        <f>P27*90</f>
        <v>377860.5</v>
      </c>
      <c r="S27" s="7"/>
      <c r="T27" s="7"/>
    </row>
    <row r="28" spans="1:20" s="5" customFormat="1" x14ac:dyDescent="0.3">
      <c r="A28" s="5">
        <v>37</v>
      </c>
      <c r="B28" s="5" t="s">
        <v>14</v>
      </c>
      <c r="C28" s="6">
        <v>45077.693090277775</v>
      </c>
      <c r="D28" s="5">
        <v>0</v>
      </c>
      <c r="E28" s="5">
        <v>7947</v>
      </c>
      <c r="F28" s="5">
        <v>3</v>
      </c>
      <c r="G28" s="5">
        <v>1</v>
      </c>
      <c r="H28" s="5">
        <v>7</v>
      </c>
      <c r="I28" s="5">
        <v>120.04</v>
      </c>
      <c r="K28" s="5">
        <v>5094.9399999999996</v>
      </c>
      <c r="L28" s="5">
        <v>2546.61</v>
      </c>
      <c r="M28" s="5">
        <v>2.54</v>
      </c>
      <c r="N28" s="5" t="s">
        <v>18</v>
      </c>
      <c r="P28" s="5">
        <f t="shared" si="0"/>
        <v>5001.9399999999996</v>
      </c>
      <c r="Q28" s="5">
        <f>P28*50</f>
        <v>250096.99999999997</v>
      </c>
      <c r="R28" s="5">
        <f>Q28/(Q29+Q28)*100</f>
        <v>58.101923751984287</v>
      </c>
    </row>
    <row r="29" spans="1:20" s="5" customFormat="1" x14ac:dyDescent="0.3">
      <c r="A29" s="5">
        <v>37</v>
      </c>
      <c r="B29" s="5" t="s">
        <v>14</v>
      </c>
      <c r="C29" s="6">
        <v>45077.694641203707</v>
      </c>
      <c r="D29" s="5">
        <v>0</v>
      </c>
      <c r="E29" s="5">
        <v>7947</v>
      </c>
      <c r="F29" s="5">
        <v>3</v>
      </c>
      <c r="G29" s="5">
        <v>1</v>
      </c>
      <c r="H29" s="5">
        <v>8</v>
      </c>
      <c r="I29" s="5">
        <v>120.05</v>
      </c>
      <c r="K29" s="5">
        <v>2096.87</v>
      </c>
      <c r="L29" s="5">
        <v>1048.0899999999999</v>
      </c>
      <c r="M29" s="5">
        <v>3.09</v>
      </c>
      <c r="N29" s="5" t="s">
        <v>19</v>
      </c>
      <c r="P29" s="5">
        <f t="shared" si="0"/>
        <v>2003.87</v>
      </c>
      <c r="Q29" s="5">
        <f>P29*90</f>
        <v>180348.3</v>
      </c>
    </row>
    <row r="30" spans="1:20" s="5" customFormat="1" x14ac:dyDescent="0.3">
      <c r="A30" s="5">
        <v>37</v>
      </c>
      <c r="B30" s="5" t="s">
        <v>14</v>
      </c>
      <c r="C30" s="6">
        <v>45077.696180555555</v>
      </c>
      <c r="D30" s="5">
        <v>0</v>
      </c>
      <c r="E30" s="5">
        <v>7947</v>
      </c>
      <c r="F30" s="5">
        <v>3</v>
      </c>
      <c r="G30" s="5">
        <v>1</v>
      </c>
      <c r="H30" s="5">
        <v>9</v>
      </c>
      <c r="I30" s="5">
        <v>120.05</v>
      </c>
      <c r="K30" s="5">
        <v>2940.02</v>
      </c>
      <c r="L30" s="5">
        <v>1469.51</v>
      </c>
      <c r="M30" s="5">
        <v>2.12</v>
      </c>
      <c r="N30" s="5" t="s">
        <v>18</v>
      </c>
      <c r="P30" s="5">
        <f t="shared" si="0"/>
        <v>2847.02</v>
      </c>
      <c r="Q30" s="5">
        <f>P30*50</f>
        <v>142351</v>
      </c>
      <c r="R30" s="5">
        <f>Q31/(Q31+Q30)*100</f>
        <v>57.744601677024377</v>
      </c>
    </row>
    <row r="31" spans="1:20" s="5" customFormat="1" x14ac:dyDescent="0.3">
      <c r="A31" s="5">
        <v>37</v>
      </c>
      <c r="B31" s="5" t="s">
        <v>14</v>
      </c>
      <c r="C31" s="6">
        <v>45077.697731481479</v>
      </c>
      <c r="D31" s="5">
        <v>0</v>
      </c>
      <c r="E31" s="5">
        <v>7947</v>
      </c>
      <c r="F31" s="5">
        <v>3</v>
      </c>
      <c r="G31" s="5">
        <v>1</v>
      </c>
      <c r="H31" s="5">
        <v>10</v>
      </c>
      <c r="I31" s="5">
        <v>120.05</v>
      </c>
      <c r="K31" s="5">
        <v>2254.46</v>
      </c>
      <c r="L31" s="5">
        <v>1126.8599999999999</v>
      </c>
      <c r="M31" s="5">
        <v>2.98</v>
      </c>
      <c r="N31" s="5" t="s">
        <v>19</v>
      </c>
      <c r="P31" s="5">
        <f t="shared" si="0"/>
        <v>2161.46</v>
      </c>
      <c r="Q31" s="5">
        <f>P31*90</f>
        <v>194531.4</v>
      </c>
    </row>
    <row r="32" spans="1:20" s="8" customFormat="1" x14ac:dyDescent="0.3">
      <c r="A32" s="5">
        <v>37</v>
      </c>
      <c r="B32" s="5" t="s">
        <v>14</v>
      </c>
      <c r="C32" s="6">
        <v>45077.699652777781</v>
      </c>
      <c r="D32" s="5">
        <v>0</v>
      </c>
      <c r="E32" s="5">
        <v>7947</v>
      </c>
      <c r="F32" s="5">
        <v>4</v>
      </c>
      <c r="G32" s="5">
        <v>1</v>
      </c>
      <c r="H32" s="5">
        <v>1</v>
      </c>
      <c r="I32" s="5">
        <v>120.05</v>
      </c>
      <c r="J32" s="5"/>
      <c r="K32" s="5">
        <v>3365.71</v>
      </c>
      <c r="L32" s="5">
        <v>1682.28</v>
      </c>
      <c r="M32" s="5">
        <v>7.4</v>
      </c>
      <c r="N32" s="5" t="s">
        <v>18</v>
      </c>
      <c r="O32" s="5"/>
      <c r="P32" s="5">
        <f t="shared" si="0"/>
        <v>3272.71</v>
      </c>
      <c r="Q32" s="5">
        <f>P32*30</f>
        <v>98181.3</v>
      </c>
      <c r="R32" s="5">
        <f>Q33/(Q33+Q32)*100</f>
        <v>65.506923467699266</v>
      </c>
      <c r="S32" s="3">
        <f>AVERAGE(R32:R36)</f>
        <v>65.387721002186041</v>
      </c>
      <c r="T32" s="3">
        <f>_xlfn.STDEV.P(R32:R36)</f>
        <v>3.7195810632162125</v>
      </c>
    </row>
    <row r="33" spans="1:20" s="5" customFormat="1" x14ac:dyDescent="0.3">
      <c r="A33" s="5">
        <v>37</v>
      </c>
      <c r="B33" s="5" t="s">
        <v>14</v>
      </c>
      <c r="C33" s="6">
        <v>45077.701203703706</v>
      </c>
      <c r="D33" s="5">
        <v>0</v>
      </c>
      <c r="E33" s="5">
        <v>7947</v>
      </c>
      <c r="F33" s="5">
        <v>4</v>
      </c>
      <c r="G33" s="5">
        <v>1</v>
      </c>
      <c r="H33" s="5">
        <v>2</v>
      </c>
      <c r="I33" s="5">
        <v>120.05</v>
      </c>
      <c r="K33" s="5">
        <v>2164.77</v>
      </c>
      <c r="L33" s="5">
        <v>1082.0999999999999</v>
      </c>
      <c r="M33" s="5">
        <v>3.04</v>
      </c>
      <c r="N33" s="5" t="s">
        <v>19</v>
      </c>
      <c r="O33" s="5">
        <v>0.33750000000000002</v>
      </c>
      <c r="P33" s="5">
        <f t="shared" si="0"/>
        <v>2071.77</v>
      </c>
      <c r="Q33" s="5">
        <f>P33*90</f>
        <v>186459.3</v>
      </c>
      <c r="S33" s="3"/>
      <c r="T33" s="3"/>
    </row>
    <row r="34" spans="1:20" s="8" customFormat="1" x14ac:dyDescent="0.3">
      <c r="A34" s="5">
        <v>37</v>
      </c>
      <c r="B34" s="5" t="s">
        <v>14</v>
      </c>
      <c r="C34" s="6">
        <v>45077.70275462963</v>
      </c>
      <c r="D34" s="5">
        <v>0</v>
      </c>
      <c r="E34" s="5">
        <v>7947</v>
      </c>
      <c r="F34" s="5">
        <v>4</v>
      </c>
      <c r="G34" s="5">
        <v>1</v>
      </c>
      <c r="H34" s="5">
        <v>3</v>
      </c>
      <c r="I34" s="5">
        <v>120.03</v>
      </c>
      <c r="J34" s="5"/>
      <c r="K34" s="5">
        <v>2048</v>
      </c>
      <c r="L34" s="5">
        <v>1023.65</v>
      </c>
      <c r="M34" s="5">
        <v>8.98</v>
      </c>
      <c r="N34" s="5" t="s">
        <v>18</v>
      </c>
      <c r="O34" s="5"/>
      <c r="P34" s="5">
        <f t="shared" si="0"/>
        <v>1955</v>
      </c>
      <c r="Q34" s="5">
        <f>P34*30</f>
        <v>58650</v>
      </c>
      <c r="R34" s="5">
        <f>Q35/(Q35+Q34)*100</f>
        <v>69.882487783535964</v>
      </c>
      <c r="S34" s="3"/>
      <c r="T34" s="3"/>
    </row>
    <row r="35" spans="1:20" x14ac:dyDescent="0.3">
      <c r="A35" s="5">
        <v>37</v>
      </c>
      <c r="B35" s="5" t="s">
        <v>14</v>
      </c>
      <c r="C35" s="6">
        <v>45077.704293981478</v>
      </c>
      <c r="D35" s="5">
        <v>0</v>
      </c>
      <c r="E35" s="5">
        <v>7947</v>
      </c>
      <c r="F35" s="5">
        <v>4</v>
      </c>
      <c r="G35" s="5">
        <v>1</v>
      </c>
      <c r="H35" s="5">
        <v>4</v>
      </c>
      <c r="I35" s="5">
        <v>120.06</v>
      </c>
      <c r="J35" s="5"/>
      <c r="K35" s="5">
        <v>1605.08</v>
      </c>
      <c r="L35" s="5">
        <v>802.2</v>
      </c>
      <c r="M35" s="5">
        <v>3.53</v>
      </c>
      <c r="N35" s="5" t="s">
        <v>19</v>
      </c>
      <c r="O35" s="5"/>
      <c r="P35" s="5">
        <f t="shared" si="0"/>
        <v>1512.08</v>
      </c>
      <c r="Q35" s="5">
        <f>P35*90</f>
        <v>136087.19999999998</v>
      </c>
      <c r="R35" s="5"/>
      <c r="S35" s="3"/>
      <c r="T35" s="3"/>
    </row>
    <row r="36" spans="1:20" s="8" customFormat="1" x14ac:dyDescent="0.3">
      <c r="A36" s="5">
        <v>37</v>
      </c>
      <c r="B36" s="5" t="s">
        <v>14</v>
      </c>
      <c r="C36" s="6">
        <v>45077.70584490741</v>
      </c>
      <c r="D36" s="5">
        <v>0</v>
      </c>
      <c r="E36" s="5">
        <v>7947</v>
      </c>
      <c r="F36" s="5">
        <v>4</v>
      </c>
      <c r="G36" s="5">
        <v>1</v>
      </c>
      <c r="H36" s="5">
        <v>5</v>
      </c>
      <c r="I36" s="5">
        <v>120.05</v>
      </c>
      <c r="J36" s="5"/>
      <c r="K36" s="5">
        <v>2986.94</v>
      </c>
      <c r="L36" s="5">
        <v>1492.96</v>
      </c>
      <c r="M36" s="5">
        <v>5.4</v>
      </c>
      <c r="N36" s="5" t="s">
        <v>18</v>
      </c>
      <c r="O36" s="5"/>
      <c r="P36" s="5">
        <f t="shared" si="0"/>
        <v>2893.94</v>
      </c>
      <c r="Q36" s="5">
        <f>P36*30</f>
        <v>86818.2</v>
      </c>
      <c r="R36" s="5">
        <f>Q37/(Q37+Q36)*100</f>
        <v>60.773751755322905</v>
      </c>
      <c r="S36" s="3"/>
      <c r="T36" s="3"/>
    </row>
    <row r="37" spans="1:20" x14ac:dyDescent="0.3">
      <c r="A37">
        <v>37</v>
      </c>
      <c r="B37" t="s">
        <v>14</v>
      </c>
      <c r="C37" s="1">
        <v>45077.707395833335</v>
      </c>
      <c r="D37">
        <v>0</v>
      </c>
      <c r="E37">
        <v>7947</v>
      </c>
      <c r="F37">
        <v>4</v>
      </c>
      <c r="G37">
        <v>1</v>
      </c>
      <c r="H37">
        <v>6</v>
      </c>
      <c r="I37">
        <v>120.06</v>
      </c>
      <c r="K37">
        <v>1587.54</v>
      </c>
      <c r="L37">
        <v>793.44</v>
      </c>
      <c r="M37">
        <v>3.55</v>
      </c>
      <c r="N37" t="s">
        <v>19</v>
      </c>
      <c r="P37">
        <f t="shared" si="0"/>
        <v>1494.54</v>
      </c>
      <c r="Q37">
        <f>P37*90</f>
        <v>134508.6</v>
      </c>
      <c r="S37" s="3"/>
      <c r="T37" s="3"/>
    </row>
    <row r="38" spans="1:20" x14ac:dyDescent="0.3">
      <c r="A38">
        <v>37</v>
      </c>
      <c r="B38" t="s">
        <v>14</v>
      </c>
      <c r="C38" s="1">
        <v>45077.70894675926</v>
      </c>
      <c r="D38">
        <v>0</v>
      </c>
      <c r="E38">
        <v>7947</v>
      </c>
      <c r="F38">
        <v>4</v>
      </c>
      <c r="G38">
        <v>1</v>
      </c>
      <c r="H38">
        <v>7</v>
      </c>
      <c r="I38">
        <v>120.03</v>
      </c>
      <c r="K38" s="5">
        <v>374.94</v>
      </c>
      <c r="L38">
        <v>187.4</v>
      </c>
      <c r="M38">
        <v>6.49</v>
      </c>
      <c r="N38" t="s">
        <v>18</v>
      </c>
      <c r="P38">
        <f t="shared" si="0"/>
        <v>281.94</v>
      </c>
      <c r="Q38">
        <f>P38*70</f>
        <v>19735.8</v>
      </c>
      <c r="R38">
        <f>Q39/(Q38+Q39)*100</f>
        <v>65.688565289049293</v>
      </c>
      <c r="S38" s="3">
        <f>AVERAGE(R38:R42)</f>
        <v>73.425373740611889</v>
      </c>
      <c r="T38" s="3">
        <f>_xlfn.STDEV.P(R38:R42)</f>
        <v>7.7368084515625339</v>
      </c>
    </row>
    <row r="39" spans="1:20" x14ac:dyDescent="0.3">
      <c r="A39">
        <v>37</v>
      </c>
      <c r="B39" t="s">
        <v>14</v>
      </c>
      <c r="C39" s="1">
        <v>45077.710497685184</v>
      </c>
      <c r="D39">
        <v>0</v>
      </c>
      <c r="E39">
        <v>7947</v>
      </c>
      <c r="F39">
        <v>4</v>
      </c>
      <c r="G39">
        <v>1</v>
      </c>
      <c r="H39">
        <v>8</v>
      </c>
      <c r="I39">
        <v>120.05</v>
      </c>
      <c r="K39" s="5">
        <v>1982.19</v>
      </c>
      <c r="L39">
        <v>990.82</v>
      </c>
      <c r="M39">
        <v>3.18</v>
      </c>
      <c r="N39" t="s">
        <v>19</v>
      </c>
      <c r="O39">
        <v>0.50624999999999998</v>
      </c>
      <c r="P39">
        <f t="shared" si="0"/>
        <v>1889.19</v>
      </c>
      <c r="Q39">
        <f>P39*20</f>
        <v>37783.800000000003</v>
      </c>
      <c r="S39" s="5"/>
      <c r="T39" s="5"/>
    </row>
    <row r="40" spans="1:20" x14ac:dyDescent="0.3">
      <c r="A40">
        <v>37</v>
      </c>
      <c r="B40" t="s">
        <v>14</v>
      </c>
      <c r="C40" s="1">
        <v>45077.712048611109</v>
      </c>
      <c r="D40">
        <v>0</v>
      </c>
      <c r="E40">
        <v>7947</v>
      </c>
      <c r="F40">
        <v>4</v>
      </c>
      <c r="G40">
        <v>1</v>
      </c>
      <c r="H40">
        <v>9</v>
      </c>
      <c r="I40">
        <v>120.05</v>
      </c>
      <c r="K40" s="5">
        <v>217.55</v>
      </c>
      <c r="L40">
        <v>108.73</v>
      </c>
      <c r="M40">
        <v>8.49</v>
      </c>
      <c r="N40" t="s">
        <v>18</v>
      </c>
      <c r="P40">
        <f t="shared" si="0"/>
        <v>124.55000000000001</v>
      </c>
      <c r="Q40">
        <f>P40*70</f>
        <v>8718.5</v>
      </c>
      <c r="R40">
        <f>Q41/(Q40+Q41)*100</f>
        <v>81.162182192174484</v>
      </c>
    </row>
    <row r="41" spans="1:20" x14ac:dyDescent="0.3">
      <c r="A41">
        <v>37</v>
      </c>
      <c r="B41" t="s">
        <v>14</v>
      </c>
      <c r="C41" s="1">
        <v>45077.713587962964</v>
      </c>
      <c r="D41">
        <v>0</v>
      </c>
      <c r="E41">
        <v>7947</v>
      </c>
      <c r="F41">
        <v>4</v>
      </c>
      <c r="G41">
        <v>1</v>
      </c>
      <c r="H41">
        <v>10</v>
      </c>
      <c r="I41">
        <v>120.03</v>
      </c>
      <c r="K41">
        <v>1971.17</v>
      </c>
      <c r="L41">
        <v>985.45</v>
      </c>
      <c r="M41">
        <v>3.19</v>
      </c>
      <c r="N41" t="s">
        <v>19</v>
      </c>
      <c r="P41">
        <f t="shared" si="0"/>
        <v>1878.17</v>
      </c>
      <c r="Q41">
        <f>P41*20</f>
        <v>37563.4</v>
      </c>
    </row>
    <row r="42" spans="1:20" x14ac:dyDescent="0.3">
      <c r="A42">
        <v>37</v>
      </c>
      <c r="B42" t="s">
        <v>14</v>
      </c>
      <c r="C42" s="1">
        <v>45077.715532407405</v>
      </c>
      <c r="D42">
        <v>0</v>
      </c>
      <c r="E42">
        <v>7947</v>
      </c>
      <c r="F42">
        <v>5</v>
      </c>
      <c r="G42">
        <v>1</v>
      </c>
      <c r="H42">
        <v>1</v>
      </c>
      <c r="I42">
        <v>120.03</v>
      </c>
      <c r="K42">
        <v>93</v>
      </c>
      <c r="L42">
        <v>46.49</v>
      </c>
      <c r="M42">
        <v>14.67</v>
      </c>
      <c r="N42" t="s">
        <v>20</v>
      </c>
    </row>
    <row r="43" spans="1:20" x14ac:dyDescent="0.3">
      <c r="A43">
        <v>37</v>
      </c>
      <c r="B43" t="s">
        <v>14</v>
      </c>
      <c r="C43" s="1">
        <v>45077.71707175926</v>
      </c>
      <c r="D43">
        <v>0</v>
      </c>
      <c r="E43">
        <v>7947</v>
      </c>
      <c r="F43">
        <v>5</v>
      </c>
      <c r="G43">
        <v>1</v>
      </c>
      <c r="H43">
        <v>2</v>
      </c>
      <c r="I43">
        <v>120.05</v>
      </c>
      <c r="K43">
        <v>1308.21</v>
      </c>
      <c r="L43">
        <v>653.9</v>
      </c>
      <c r="M43">
        <v>3.91</v>
      </c>
      <c r="N43" t="s">
        <v>15</v>
      </c>
    </row>
    <row r="44" spans="1:20" x14ac:dyDescent="0.3">
      <c r="A44">
        <v>37</v>
      </c>
      <c r="B44" t="s">
        <v>14</v>
      </c>
      <c r="C44" s="1">
        <v>45077.718622685185</v>
      </c>
      <c r="D44">
        <v>0</v>
      </c>
      <c r="E44">
        <v>7947</v>
      </c>
      <c r="F44">
        <v>5</v>
      </c>
      <c r="G44">
        <v>1</v>
      </c>
      <c r="H44">
        <v>3</v>
      </c>
      <c r="I44">
        <v>120.05</v>
      </c>
      <c r="K44">
        <v>68</v>
      </c>
      <c r="L44">
        <v>33.99</v>
      </c>
      <c r="M44">
        <v>17.149999999999999</v>
      </c>
      <c r="N44" t="s">
        <v>15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007947</vt:lpstr>
      <vt:lpstr>'007947'!_007947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Svenja Trapp</dc:creator>
  <cp:lastModifiedBy>Svenja Trapp</cp:lastModifiedBy>
  <dcterms:created xsi:type="dcterms:W3CDTF">2024-05-19T17:07:28Z</dcterms:created>
  <dcterms:modified xsi:type="dcterms:W3CDTF">2024-05-19T17:07:28Z</dcterms:modified>
</cp:coreProperties>
</file>